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Table A6" sheetId="6" r:id="rId1"/>
    <sheet name="Table A7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6" l="1"/>
  <c r="F9" i="6"/>
  <c r="H9" i="6"/>
  <c r="J9" i="6"/>
  <c r="L9" i="6"/>
  <c r="N9" i="6"/>
  <c r="P9" i="6"/>
  <c r="D10" i="6"/>
  <c r="F10" i="6"/>
  <c r="H10" i="6"/>
  <c r="J10" i="6"/>
  <c r="L10" i="6"/>
  <c r="N10" i="6"/>
  <c r="P10" i="6"/>
  <c r="D12" i="6"/>
  <c r="F12" i="6"/>
  <c r="H12" i="6"/>
  <c r="J12" i="6"/>
  <c r="L12" i="6"/>
  <c r="N12" i="6"/>
  <c r="P12" i="6"/>
  <c r="D13" i="6"/>
  <c r="F13" i="6"/>
  <c r="H13" i="6"/>
  <c r="J13" i="6"/>
  <c r="L13" i="6"/>
  <c r="N13" i="6"/>
  <c r="P13" i="6"/>
  <c r="D15" i="6"/>
  <c r="F15" i="6"/>
  <c r="H15" i="6"/>
  <c r="J15" i="6"/>
  <c r="L15" i="6"/>
  <c r="N15" i="6"/>
  <c r="P15" i="6"/>
  <c r="D16" i="6"/>
  <c r="F16" i="6"/>
  <c r="H16" i="6"/>
  <c r="J16" i="6"/>
  <c r="L16" i="6"/>
  <c r="N16" i="6"/>
  <c r="P16" i="6"/>
  <c r="D18" i="6"/>
  <c r="F18" i="6"/>
  <c r="H18" i="6"/>
  <c r="J18" i="6"/>
  <c r="L18" i="6"/>
  <c r="N18" i="6"/>
  <c r="P18" i="6"/>
  <c r="D19" i="6"/>
  <c r="F19" i="6"/>
  <c r="H19" i="6"/>
  <c r="J19" i="6"/>
  <c r="L19" i="6"/>
  <c r="N19" i="6"/>
  <c r="P19" i="6"/>
  <c r="D21" i="6"/>
  <c r="F21" i="6"/>
  <c r="H21" i="6"/>
  <c r="J21" i="6"/>
  <c r="L21" i="6"/>
  <c r="N21" i="6"/>
  <c r="P21" i="6"/>
  <c r="D22" i="6"/>
  <c r="F22" i="6"/>
  <c r="H22" i="6"/>
  <c r="J22" i="6"/>
  <c r="L22" i="6"/>
  <c r="N22" i="6"/>
  <c r="P22" i="6"/>
  <c r="D24" i="6"/>
  <c r="F24" i="6"/>
  <c r="H24" i="6"/>
  <c r="J24" i="6"/>
  <c r="L24" i="6"/>
  <c r="N24" i="6"/>
  <c r="P24" i="6"/>
  <c r="D25" i="6"/>
  <c r="F25" i="6"/>
  <c r="H25" i="6"/>
  <c r="J25" i="6"/>
  <c r="L25" i="6"/>
  <c r="N25" i="6"/>
  <c r="P25" i="6"/>
  <c r="L27" i="6"/>
  <c r="L28" i="6"/>
  <c r="D29" i="6"/>
  <c r="F29" i="6"/>
  <c r="H29" i="6"/>
  <c r="J29" i="6"/>
  <c r="L29" i="6"/>
  <c r="N29" i="6"/>
  <c r="P29" i="6"/>
  <c r="D30" i="6"/>
  <c r="F30" i="6"/>
  <c r="H30" i="6"/>
  <c r="J30" i="6"/>
  <c r="L30" i="6"/>
  <c r="N30" i="6"/>
  <c r="P30" i="6"/>
  <c r="D32" i="6"/>
  <c r="F32" i="6"/>
  <c r="H32" i="6"/>
  <c r="J32" i="6"/>
  <c r="L32" i="6"/>
  <c r="N32" i="6"/>
  <c r="P32" i="6"/>
  <c r="D33" i="6"/>
  <c r="F33" i="6"/>
  <c r="H33" i="6"/>
  <c r="J33" i="6"/>
  <c r="L33" i="6"/>
  <c r="N33" i="6"/>
  <c r="P33" i="6"/>
  <c r="B41" i="7"/>
  <c r="B40" i="6"/>
  <c r="B22" i="7" l="1"/>
  <c r="B19" i="7"/>
  <c r="B16" i="7"/>
  <c r="B13" i="7"/>
  <c r="B10" i="7"/>
  <c r="B22" i="6"/>
  <c r="B19" i="6"/>
  <c r="B16" i="6"/>
  <c r="B13" i="6"/>
  <c r="B10" i="6"/>
  <c r="Z34" i="7"/>
  <c r="Y34" i="7"/>
  <c r="W34" i="7"/>
  <c r="V34" i="7"/>
  <c r="Q34" i="7"/>
  <c r="P34" i="7"/>
  <c r="N34" i="7"/>
  <c r="M34" i="7"/>
  <c r="H34" i="7"/>
  <c r="G34" i="7"/>
  <c r="E34" i="7"/>
  <c r="D34" i="7"/>
  <c r="Z33" i="7"/>
  <c r="Y33" i="7"/>
  <c r="W33" i="7"/>
  <c r="V33" i="7"/>
  <c r="Q33" i="7"/>
  <c r="P33" i="7"/>
  <c r="N33" i="7"/>
  <c r="M33" i="7"/>
  <c r="H33" i="7"/>
  <c r="G33" i="7"/>
  <c r="E33" i="7"/>
  <c r="D33" i="7"/>
  <c r="Z31" i="7"/>
  <c r="Y31" i="7"/>
  <c r="W31" i="7"/>
  <c r="V31" i="7"/>
  <c r="Q31" i="7"/>
  <c r="P31" i="7"/>
  <c r="N31" i="7"/>
  <c r="M31" i="7"/>
  <c r="H31" i="7"/>
  <c r="G31" i="7"/>
  <c r="E31" i="7"/>
  <c r="D31" i="7"/>
  <c r="Z30" i="7"/>
  <c r="Y30" i="7"/>
  <c r="W30" i="7"/>
  <c r="V30" i="7"/>
  <c r="Q30" i="7"/>
  <c r="P30" i="7"/>
  <c r="N30" i="7"/>
  <c r="M30" i="7"/>
  <c r="H30" i="7"/>
  <c r="G30" i="7"/>
  <c r="E30" i="7"/>
  <c r="D30" i="7"/>
  <c r="Q28" i="7"/>
  <c r="P28" i="7"/>
  <c r="Q27" i="7"/>
  <c r="P27" i="7"/>
  <c r="Z25" i="7"/>
  <c r="Y25" i="7"/>
  <c r="W25" i="7"/>
  <c r="V25" i="7"/>
  <c r="Q25" i="7"/>
  <c r="P25" i="7"/>
  <c r="N25" i="7"/>
  <c r="M25" i="7"/>
  <c r="H25" i="7"/>
  <c r="G25" i="7"/>
  <c r="E25" i="7"/>
  <c r="D25" i="7"/>
  <c r="Z24" i="7"/>
  <c r="Y24" i="7"/>
  <c r="W24" i="7"/>
  <c r="V24" i="7"/>
  <c r="Q24" i="7"/>
  <c r="P24" i="7"/>
  <c r="N24" i="7"/>
  <c r="M24" i="7"/>
  <c r="H24" i="7"/>
  <c r="G24" i="7"/>
  <c r="E24" i="7"/>
  <c r="D24" i="7"/>
  <c r="Z22" i="7"/>
  <c r="Y22" i="7"/>
  <c r="W22" i="7"/>
  <c r="V22" i="7"/>
  <c r="Q22" i="7"/>
  <c r="P22" i="7"/>
  <c r="N22" i="7"/>
  <c r="M22" i="7"/>
  <c r="H22" i="7"/>
  <c r="G22" i="7"/>
  <c r="E22" i="7"/>
  <c r="D22" i="7"/>
  <c r="Z21" i="7"/>
  <c r="Y21" i="7"/>
  <c r="W21" i="7"/>
  <c r="V21" i="7"/>
  <c r="Q21" i="7"/>
  <c r="P21" i="7"/>
  <c r="N21" i="7"/>
  <c r="M21" i="7"/>
  <c r="H21" i="7"/>
  <c r="G21" i="7"/>
  <c r="E21" i="7"/>
  <c r="D21" i="7"/>
  <c r="Z19" i="7"/>
  <c r="Y19" i="7"/>
  <c r="W19" i="7"/>
  <c r="V19" i="7"/>
  <c r="Q19" i="7"/>
  <c r="P19" i="7"/>
  <c r="N19" i="7"/>
  <c r="M19" i="7"/>
  <c r="H19" i="7"/>
  <c r="G19" i="7"/>
  <c r="E19" i="7"/>
  <c r="D19" i="7"/>
  <c r="Z18" i="7"/>
  <c r="Y18" i="7"/>
  <c r="W18" i="7"/>
  <c r="V18" i="7"/>
  <c r="Q18" i="7"/>
  <c r="P18" i="7"/>
  <c r="N18" i="7"/>
  <c r="M18" i="7"/>
  <c r="H18" i="7"/>
  <c r="G18" i="7"/>
  <c r="E18" i="7"/>
  <c r="D18" i="7"/>
  <c r="Z16" i="7"/>
  <c r="Y16" i="7"/>
  <c r="W16" i="7"/>
  <c r="V16" i="7"/>
  <c r="Q16" i="7"/>
  <c r="P16" i="7"/>
  <c r="N16" i="7"/>
  <c r="M16" i="7"/>
  <c r="H16" i="7"/>
  <c r="G16" i="7"/>
  <c r="E16" i="7"/>
  <c r="D16" i="7"/>
  <c r="Z15" i="7"/>
  <c r="Y15" i="7"/>
  <c r="W15" i="7"/>
  <c r="V15" i="7"/>
  <c r="Q15" i="7"/>
  <c r="P15" i="7"/>
  <c r="N15" i="7"/>
  <c r="M15" i="7"/>
  <c r="H15" i="7"/>
  <c r="G15" i="7"/>
  <c r="E15" i="7"/>
  <c r="D15" i="7"/>
  <c r="Z13" i="7"/>
  <c r="Y13" i="7"/>
  <c r="W13" i="7"/>
  <c r="V13" i="7"/>
  <c r="Q13" i="7"/>
  <c r="P13" i="7"/>
  <c r="N13" i="7"/>
  <c r="M13" i="7"/>
  <c r="H13" i="7"/>
  <c r="G13" i="7"/>
  <c r="E13" i="7"/>
  <c r="D13" i="7"/>
  <c r="Z12" i="7"/>
  <c r="Y12" i="7"/>
  <c r="W12" i="7"/>
  <c r="V12" i="7"/>
  <c r="Q12" i="7"/>
  <c r="P12" i="7"/>
  <c r="N12" i="7"/>
  <c r="M12" i="7"/>
  <c r="H12" i="7"/>
  <c r="G12" i="7"/>
  <c r="E12" i="7"/>
  <c r="D12" i="7"/>
  <c r="Z10" i="7"/>
  <c r="Y10" i="7"/>
  <c r="W10" i="7"/>
  <c r="V10" i="7"/>
  <c r="Q10" i="7"/>
  <c r="P10" i="7"/>
  <c r="N10" i="7"/>
  <c r="M10" i="7"/>
  <c r="H10" i="7"/>
  <c r="G10" i="7"/>
  <c r="E10" i="7"/>
  <c r="D10" i="7"/>
  <c r="Z9" i="7"/>
  <c r="Y9" i="7"/>
  <c r="W9" i="7"/>
  <c r="V9" i="7"/>
  <c r="Q9" i="7"/>
  <c r="P9" i="7"/>
  <c r="N9" i="7"/>
  <c r="M9" i="7"/>
  <c r="H9" i="7"/>
  <c r="G9" i="7"/>
  <c r="E9" i="7"/>
  <c r="D9" i="7"/>
</calcChain>
</file>

<file path=xl/sharedStrings.xml><?xml version="1.0" encoding="utf-8"?>
<sst xmlns="http://schemas.openxmlformats.org/spreadsheetml/2006/main" count="202" uniqueCount="104">
  <si>
    <t>Country FE</t>
  </si>
  <si>
    <t xml:space="preserve">Year FE </t>
  </si>
  <si>
    <t>Standard errors in brackets</t>
  </si>
  <si>
    <t xml:space="preserve">African countries </t>
  </si>
  <si>
    <t>Main regressions</t>
  </si>
  <si>
    <t>Robustness checks</t>
  </si>
  <si>
    <t/>
  </si>
  <si>
    <t>Full country 
sample</t>
  </si>
  <si>
    <t>1995-2005 
(full country sample)</t>
  </si>
  <si>
    <t>2006-2015 
(full country sample)</t>
  </si>
  <si>
    <t>Regression with services share in GDP 
(full country sample)</t>
  </si>
  <si>
    <t>Balanced dataset 
(full country sample)</t>
  </si>
  <si>
    <t>Balanced dataset (African countries)</t>
  </si>
  <si>
    <t>Regression with yearly estimates of independent variables 
(full contry sample)</t>
  </si>
  <si>
    <t>Regression with yearly estimates of independent variables  
(full country sample)</t>
  </si>
  <si>
    <t>-0.225***</t>
  </si>
  <si>
    <t>-0.0664</t>
  </si>
  <si>
    <t>[0.078]</t>
  </si>
  <si>
    <t>[0.036]</t>
  </si>
  <si>
    <t>[0.061]</t>
  </si>
  <si>
    <t>[0.065]</t>
  </si>
  <si>
    <t>[0.037]</t>
  </si>
  <si>
    <t>[0.060]</t>
  </si>
  <si>
    <t>[0.043]</t>
  </si>
  <si>
    <t>0.0914</t>
  </si>
  <si>
    <t>-0.00954</t>
  </si>
  <si>
    <t>[0.11]</t>
  </si>
  <si>
    <t>[0.075]</t>
  </si>
  <si>
    <t>[0.064]</t>
  </si>
  <si>
    <t>[0.057]</t>
  </si>
  <si>
    <t>-0.0162</t>
  </si>
  <si>
    <t>0.0416</t>
  </si>
  <si>
    <t>[0.034]</t>
  </si>
  <si>
    <t>[0.067]</t>
  </si>
  <si>
    <t>[0.029]</t>
  </si>
  <si>
    <t>[0.018]</t>
  </si>
  <si>
    <t>[0.030]</t>
  </si>
  <si>
    <t>0.0140</t>
  </si>
  <si>
    <t>[0.048]</t>
  </si>
  <si>
    <t>[0.041]</t>
  </si>
  <si>
    <t>-0.259</t>
  </si>
  <si>
    <t>[0.31]</t>
  </si>
  <si>
    <t>[0.25]</t>
  </si>
  <si>
    <t>[0.19]</t>
  </si>
  <si>
    <t>[0.32]</t>
  </si>
  <si>
    <t>[0.16]</t>
  </si>
  <si>
    <t>0.317***</t>
  </si>
  <si>
    <t>-0.129***</t>
  </si>
  <si>
    <t>0.0567</t>
  </si>
  <si>
    <t>1.009</t>
  </si>
  <si>
    <t>2.155</t>
  </si>
  <si>
    <t>[1.75]</t>
  </si>
  <si>
    <t>[2.73]</t>
  </si>
  <si>
    <t>[1.66]</t>
  </si>
  <si>
    <t>[1.37]</t>
  </si>
  <si>
    <t>948</t>
  </si>
  <si>
    <t>1168</t>
  </si>
  <si>
    <t>0.420</t>
  </si>
  <si>
    <t>0.093</t>
  </si>
  <si>
    <t>0.405</t>
  </si>
  <si>
    <t>-0.334***</t>
  </si>
  <si>
    <t>0.0891</t>
  </si>
  <si>
    <t>[0.063]</t>
  </si>
  <si>
    <t>0.211*</t>
  </si>
  <si>
    <t>-0.276***</t>
  </si>
  <si>
    <t>[0.086]</t>
  </si>
  <si>
    <t>0.216***</t>
  </si>
  <si>
    <t>-0.112***</t>
  </si>
  <si>
    <t>[0.044]</t>
  </si>
  <si>
    <t>-0.189***</t>
  </si>
  <si>
    <t>-0.0171</t>
  </si>
  <si>
    <t>-0.219</t>
  </si>
  <si>
    <t>-0.627**</t>
  </si>
  <si>
    <t>0.205***</t>
  </si>
  <si>
    <t>-0.0332</t>
  </si>
  <si>
    <t>3.629*</t>
  </si>
  <si>
    <t>0.654</t>
  </si>
  <si>
    <t>[2.16]</t>
  </si>
  <si>
    <t>224</t>
  </si>
  <si>
    <t>0.618</t>
  </si>
  <si>
    <t>0.239</t>
  </si>
  <si>
    <t>0.0666*</t>
  </si>
  <si>
    <t>-0.115*</t>
  </si>
  <si>
    <t>0.0828***</t>
  </si>
  <si>
    <t>-0.156**</t>
  </si>
  <si>
    <t>-0.972***</t>
  </si>
  <si>
    <t>5.989**</t>
  </si>
  <si>
    <t>-0.403**</t>
  </si>
  <si>
    <t>Yes</t>
  </si>
  <si>
    <t>GDP per capita (log)</t>
  </si>
  <si>
    <t>Manufacturing share in GDP (log)</t>
  </si>
  <si>
    <t>FDI stock per capita (log)</t>
  </si>
  <si>
    <t>Tariffs on imports intermediates (log)</t>
  </si>
  <si>
    <t>Number of mobile phone subscribers per 100 inhabitants (log)</t>
  </si>
  <si>
    <t>Calibrated trade costs (log)</t>
  </si>
  <si>
    <t>Services share in GDP (log)</t>
  </si>
  <si>
    <t>Constant</t>
  </si>
  <si>
    <t>Number of observations</t>
  </si>
  <si>
    <t>Adjusted R-squared</t>
  </si>
  <si>
    <t>GVC participation (log)</t>
  </si>
  <si>
    <t>Backward GVC participation (log)</t>
  </si>
  <si>
    <t>Forward GVC participation (log)</t>
  </si>
  <si>
    <t>Table A6: Additional regression estimations and correlates for overall GVC participation</t>
  </si>
  <si>
    <t>Table A7: Additional regression estimations and correlates for backward and forward GVC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</si>
</sst>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1" xfId="0" applyFont="1" applyFill="1" applyBorder="1"/>
    <xf numFmtId="0" fontId="1" fillId="0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42"/>
  <sheetViews>
    <sheetView showGridLines="0" tabSelected="1" zoomScale="70" zoomScaleNormal="70" workbookViewId="0"/>
  </sheetViews>
  <sheetFormatPr defaultColWidth="8.7109375" defaultRowHeight="18.75" x14ac:dyDescent="0.3"/>
  <cols>
    <col min="1" max="1" width="8.7109375" style="8"/>
    <col min="2" max="2" width="38.5703125" style="8" customWidth="1"/>
    <col min="3" max="3" width="11.28515625" style="8" customWidth="1"/>
    <col min="4" max="4" width="18.28515625" style="2" customWidth="1"/>
    <col min="5" max="5" width="4.85546875" style="2" customWidth="1"/>
    <col min="6" max="6" width="16.5703125" style="2" customWidth="1"/>
    <col min="7" max="7" width="4.7109375" style="2" customWidth="1"/>
    <col min="8" max="8" width="21.140625" style="2" customWidth="1"/>
    <col min="9" max="9" width="3.42578125" style="2" customWidth="1"/>
    <col min="10" max="10" width="19.5703125" style="2" customWidth="1"/>
    <col min="11" max="11" width="2.140625" style="2" customWidth="1"/>
    <col min="12" max="12" width="24.85546875" style="2" customWidth="1"/>
    <col min="13" max="13" width="2.5703125" style="2" customWidth="1"/>
    <col min="14" max="14" width="23.42578125" style="2" customWidth="1"/>
    <col min="15" max="15" width="2" style="2" customWidth="1"/>
    <col min="16" max="16" width="23.28515625" style="2" customWidth="1"/>
    <col min="17" max="17" width="2.140625" style="2" customWidth="1"/>
    <col min="18" max="18" width="30.42578125" style="2" customWidth="1"/>
    <col min="19" max="21" width="8.7109375" style="8"/>
    <col min="22" max="48" width="8.7109375" style="19"/>
    <col min="49" max="16384" width="8.7109375" style="8"/>
  </cols>
  <sheetData>
    <row r="1" spans="2:48" ht="21" x14ac:dyDescent="0.35">
      <c r="B1" s="23" t="s">
        <v>102</v>
      </c>
    </row>
    <row r="3" spans="2:48" ht="18.600000000000001" x14ac:dyDescent="0.45">
      <c r="B3" s="13"/>
      <c r="C3" s="1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2:48" ht="18.600000000000001" x14ac:dyDescent="0.45">
      <c r="B4" s="14"/>
      <c r="C4" s="14"/>
      <c r="D4" s="24" t="s">
        <v>4</v>
      </c>
      <c r="E4" s="24"/>
      <c r="F4" s="24"/>
      <c r="G4" s="5"/>
      <c r="H4" s="24" t="s">
        <v>5</v>
      </c>
      <c r="I4" s="24"/>
      <c r="J4" s="24"/>
      <c r="K4" s="24"/>
      <c r="L4" s="24"/>
      <c r="M4" s="24"/>
      <c r="N4" s="24"/>
      <c r="O4" s="24"/>
      <c r="P4" s="24"/>
      <c r="Q4" s="24"/>
      <c r="R4" s="24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2:48" s="10" customFormat="1" ht="75.599999999999994" customHeight="1" x14ac:dyDescent="0.35">
      <c r="B5" s="15" t="s">
        <v>6</v>
      </c>
      <c r="C5" s="15"/>
      <c r="D5" s="16" t="s">
        <v>7</v>
      </c>
      <c r="E5" s="17"/>
      <c r="F5" s="17" t="s">
        <v>3</v>
      </c>
      <c r="G5" s="17"/>
      <c r="H5" s="16" t="s">
        <v>8</v>
      </c>
      <c r="I5" s="16"/>
      <c r="J5" s="16" t="s">
        <v>9</v>
      </c>
      <c r="K5" s="17"/>
      <c r="L5" s="16" t="s">
        <v>10</v>
      </c>
      <c r="M5" s="17"/>
      <c r="N5" s="16" t="s">
        <v>11</v>
      </c>
      <c r="O5" s="16"/>
      <c r="P5" s="16" t="s">
        <v>12</v>
      </c>
      <c r="Q5" s="17"/>
      <c r="R5" s="16" t="s">
        <v>13</v>
      </c>
    </row>
    <row r="6" spans="2:48" s="10" customFormat="1" ht="18.600000000000001" x14ac:dyDescent="0.35">
      <c r="B6" s="15"/>
      <c r="C6" s="15"/>
      <c r="D6" s="17"/>
      <c r="E6" s="17"/>
      <c r="F6" s="17"/>
      <c r="G6" s="17"/>
      <c r="H6" s="16"/>
      <c r="I6" s="16"/>
      <c r="J6" s="16"/>
      <c r="K6" s="17"/>
      <c r="L6" s="16"/>
      <c r="M6" s="17"/>
      <c r="N6" s="16"/>
      <c r="O6" s="16"/>
      <c r="P6" s="16"/>
      <c r="Q6" s="17"/>
      <c r="R6" s="16"/>
    </row>
    <row r="7" spans="2:48" ht="18.600000000000001" customHeight="1" x14ac:dyDescent="0.45">
      <c r="B7" s="14" t="s">
        <v>6</v>
      </c>
      <c r="C7" s="14"/>
      <c r="D7" s="25" t="s">
        <v>99</v>
      </c>
      <c r="E7" s="25"/>
      <c r="F7" s="25"/>
      <c r="G7" s="18"/>
      <c r="H7" s="25" t="s">
        <v>99</v>
      </c>
      <c r="I7" s="25"/>
      <c r="J7" s="25"/>
      <c r="K7" s="25"/>
      <c r="L7" s="25"/>
      <c r="M7" s="25"/>
      <c r="N7" s="25"/>
      <c r="O7" s="25"/>
      <c r="P7" s="25"/>
      <c r="Q7" s="25"/>
      <c r="R7" s="25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2:48" ht="18.600000000000001" x14ac:dyDescent="0.45"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2:48" ht="18.600000000000001" x14ac:dyDescent="0.45">
      <c r="B9" s="8" t="s">
        <v>89</v>
      </c>
      <c r="D9" s="2" t="str">
        <f>"-0.0482"</f>
        <v>-0.0482</v>
      </c>
      <c r="F9" s="2" t="str">
        <f>"0.0711"</f>
        <v>0.0711</v>
      </c>
      <c r="H9" s="2" t="str">
        <f>"-0.0613"</f>
        <v>-0.0613</v>
      </c>
      <c r="J9" s="2" t="str">
        <f>"-0.0155"</f>
        <v>-0.0155</v>
      </c>
      <c r="L9" s="2" t="str">
        <f>"-0.0356"</f>
        <v>-0.0356</v>
      </c>
      <c r="N9" s="2" t="str">
        <f>"-0.0235"</f>
        <v>-0.0235</v>
      </c>
      <c r="P9" s="2" t="str">
        <f>"0.0535"</f>
        <v>0.0535</v>
      </c>
      <c r="R9" s="2" t="s">
        <v>16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2:48" ht="18.600000000000001" customHeight="1" x14ac:dyDescent="0.45">
      <c r="B10" s="8" t="str">
        <f>""</f>
        <v/>
      </c>
      <c r="D10" s="2" t="str">
        <f>"[0.036]"</f>
        <v>[0.036]</v>
      </c>
      <c r="F10" s="2" t="str">
        <f>"[0.061]"</f>
        <v>[0.061]</v>
      </c>
      <c r="H10" s="2" t="str">
        <f>"[0.043]"</f>
        <v>[0.043]</v>
      </c>
      <c r="J10" s="2" t="str">
        <f>"[0.033]"</f>
        <v>[0.033]</v>
      </c>
      <c r="L10" s="2" t="str">
        <f>"[0.036]"</f>
        <v>[0.036]</v>
      </c>
      <c r="N10" s="2" t="str">
        <f>"[0.026]"</f>
        <v>[0.026]</v>
      </c>
      <c r="P10" s="2" t="str">
        <f>"[0.038]"</f>
        <v>[0.038]</v>
      </c>
      <c r="R10" s="2" t="s">
        <v>23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2:48" ht="18.600000000000001" x14ac:dyDescent="0.45"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2:48" ht="18.600000000000001" x14ac:dyDescent="0.45">
      <c r="B12" s="8" t="s">
        <v>90</v>
      </c>
      <c r="D12" s="2" t="str">
        <f>"-0.0199"</f>
        <v>-0.0199</v>
      </c>
      <c r="F12" s="2" t="str">
        <f>"0.119*"</f>
        <v>0.119*</v>
      </c>
      <c r="H12" s="2" t="str">
        <f>"-0.0310"</f>
        <v>-0.0310</v>
      </c>
      <c r="J12" s="2" t="str">
        <f>"0.00337"</f>
        <v>0.00337</v>
      </c>
      <c r="L12" s="2" t="str">
        <f>"-0.00492"</f>
        <v>-0.00492</v>
      </c>
      <c r="N12" s="2" t="str">
        <f>"0.0219"</f>
        <v>0.0219</v>
      </c>
      <c r="P12" s="2" t="str">
        <f>"0.0900"</f>
        <v>0.0900</v>
      </c>
      <c r="R12" s="2" t="s">
        <v>25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2:48" ht="18.600000000000001" x14ac:dyDescent="0.45">
      <c r="B13" s="8" t="str">
        <f>""</f>
        <v/>
      </c>
      <c r="D13" s="2" t="str">
        <f>"[0.051]"</f>
        <v>[0.051]</v>
      </c>
      <c r="F13" s="2" t="str">
        <f>"[0.065]"</f>
        <v>[0.065]</v>
      </c>
      <c r="H13" s="2" t="str">
        <f>"[0.059]"</f>
        <v>[0.059]</v>
      </c>
      <c r="J13" s="2" t="str">
        <f>"[0.047]"</f>
        <v>[0.047]</v>
      </c>
      <c r="L13" s="2" t="str">
        <f>"[0.052]"</f>
        <v>[0.052]</v>
      </c>
      <c r="N13" s="2" t="str">
        <f>"[0.046]"</f>
        <v>[0.046]</v>
      </c>
      <c r="P13" s="2" t="str">
        <f>"[0.053]"</f>
        <v>[0.053]</v>
      </c>
      <c r="R13" s="2" t="s">
        <v>29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2:48" ht="18.600000000000001" x14ac:dyDescent="0.45"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2:48" ht="18.600000000000001" x14ac:dyDescent="0.45">
      <c r="B15" s="8" t="s">
        <v>91</v>
      </c>
      <c r="D15" s="2" t="str">
        <f>"0.0408"</f>
        <v>0.0408</v>
      </c>
      <c r="F15" s="2" t="str">
        <f>"-0.0599*"</f>
        <v>-0.0599*</v>
      </c>
      <c r="H15" s="2" t="str">
        <f>"0.0422*"</f>
        <v>0.0422*</v>
      </c>
      <c r="J15" s="2" t="str">
        <f>"0.0450*"</f>
        <v>0.0450*</v>
      </c>
      <c r="L15" s="2" t="str">
        <f>"0.0451"</f>
        <v>0.0451</v>
      </c>
      <c r="N15" s="2" t="str">
        <f>"0.0372***"</f>
        <v>0.0372***</v>
      </c>
      <c r="P15" s="2" t="str">
        <f>"0.0292**"</f>
        <v>0.0292**</v>
      </c>
      <c r="R15" s="2" t="s">
        <v>31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2:48" ht="18.600000000000001" x14ac:dyDescent="0.45">
      <c r="B16" s="8" t="str">
        <f>""</f>
        <v/>
      </c>
      <c r="D16" s="2" t="str">
        <f>"[0.027]"</f>
        <v>[0.027]</v>
      </c>
      <c r="F16" s="2" t="str">
        <f>"[0.034]"</f>
        <v>[0.034]</v>
      </c>
      <c r="H16" s="2" t="str">
        <f>"[0.025]"</f>
        <v>[0.025]</v>
      </c>
      <c r="J16" s="2" t="str">
        <f>"[0.025]"</f>
        <v>[0.025]</v>
      </c>
      <c r="L16" s="2" t="str">
        <f>"[0.028]"</f>
        <v>[0.028]</v>
      </c>
      <c r="N16" s="2" t="str">
        <f>"[0.013]"</f>
        <v>[0.013]</v>
      </c>
      <c r="P16" s="2" t="str">
        <f>"[0.014]"</f>
        <v>[0.014]</v>
      </c>
      <c r="R16" s="2" t="s">
        <v>36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2:48" ht="18.600000000000001" x14ac:dyDescent="0.45"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2:48" ht="18.600000000000001" x14ac:dyDescent="0.45">
      <c r="B18" s="8" t="s">
        <v>92</v>
      </c>
      <c r="D18" s="2" t="str">
        <f>"-0.0984***"</f>
        <v>-0.0984***</v>
      </c>
      <c r="F18" s="2" t="str">
        <f>"0.0452"</f>
        <v>0.0452</v>
      </c>
      <c r="H18" s="2" t="str">
        <f>"-0.0858**"</f>
        <v>-0.0858**</v>
      </c>
      <c r="J18" s="2" t="str">
        <f>"-0.0815***"</f>
        <v>-0.0815***</v>
      </c>
      <c r="L18" s="2" t="str">
        <f>"-0.0989***"</f>
        <v>-0.0989***</v>
      </c>
      <c r="N18" s="2" t="str">
        <f>"-0.0988***"</f>
        <v>-0.0988***</v>
      </c>
      <c r="P18" s="2" t="str">
        <f>"-0.0525"</f>
        <v>-0.0525</v>
      </c>
      <c r="R18" s="2" t="s">
        <v>67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2:48" ht="18.600000000000001" x14ac:dyDescent="0.45">
      <c r="B19" s="8" t="str">
        <f>""</f>
        <v/>
      </c>
      <c r="D19" s="2" t="str">
        <f>"[0.033]"</f>
        <v>[0.033]</v>
      </c>
      <c r="F19" s="2" t="str">
        <f>"[0.050]"</f>
        <v>[0.050]</v>
      </c>
      <c r="H19" s="2" t="str">
        <f>"[0.033]"</f>
        <v>[0.033]</v>
      </c>
      <c r="J19" s="2" t="str">
        <f>"[0.029]"</f>
        <v>[0.029]</v>
      </c>
      <c r="L19" s="2" t="str">
        <f>"[0.033]"</f>
        <v>[0.033]</v>
      </c>
      <c r="N19" s="2" t="str">
        <f>"[0.029]"</f>
        <v>[0.029]</v>
      </c>
      <c r="P19" s="2" t="str">
        <f>"[0.046]"</f>
        <v>[0.046]</v>
      </c>
      <c r="R19" s="2" t="s">
        <v>32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2:48" ht="18.600000000000001" x14ac:dyDescent="0.45"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2:48" ht="18.600000000000001" x14ac:dyDescent="0.45">
      <c r="B21" s="8" t="s">
        <v>94</v>
      </c>
      <c r="D21" s="2" t="str">
        <f>"-0.377***"</f>
        <v>-0.377***</v>
      </c>
      <c r="F21" s="2" t="str">
        <f>"0.518"</f>
        <v>0.518</v>
      </c>
      <c r="H21" s="2" t="str">
        <f>"-0.397**"</f>
        <v>-0.397**</v>
      </c>
      <c r="J21" s="2" t="str">
        <f>"-0.322***"</f>
        <v>-0.322***</v>
      </c>
      <c r="L21" s="2" t="str">
        <f>"-0.381***"</f>
        <v>-0.381***</v>
      </c>
      <c r="N21" s="2" t="str">
        <f>"-0.366***"</f>
        <v>-0.366***</v>
      </c>
      <c r="P21" s="2" t="str">
        <f>"0.189"</f>
        <v>0.189</v>
      </c>
      <c r="R21" s="2" t="s">
        <v>87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</row>
    <row r="22" spans="2:48" ht="18.600000000000001" x14ac:dyDescent="0.45">
      <c r="B22" s="8" t="str">
        <f>""</f>
        <v/>
      </c>
      <c r="D22" s="2" t="str">
        <f>"[0.14]"</f>
        <v>[0.14]</v>
      </c>
      <c r="F22" s="2" t="str">
        <f>"[0.31]"</f>
        <v>[0.31]</v>
      </c>
      <c r="H22" s="2" t="str">
        <f>"[0.17]"</f>
        <v>[0.17]</v>
      </c>
      <c r="J22" s="2" t="str">
        <f>"[0.11]"</f>
        <v>[0.11]</v>
      </c>
      <c r="L22" s="2" t="str">
        <f>"[0.14]"</f>
        <v>[0.14]</v>
      </c>
      <c r="N22" s="2" t="str">
        <f>"[0.14]"</f>
        <v>[0.14]</v>
      </c>
      <c r="P22" s="2" t="str">
        <f>"[0.19]"</f>
        <v>[0.19]</v>
      </c>
      <c r="R22" s="2" t="s">
        <v>45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2:48" ht="18.600000000000001" x14ac:dyDescent="0.45"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2:48" ht="55.5" x14ac:dyDescent="0.45">
      <c r="B24" s="9" t="s">
        <v>93</v>
      </c>
      <c r="D24" s="2" t="str">
        <f>"0.0318"</f>
        <v>0.0318</v>
      </c>
      <c r="F24" s="2" t="str">
        <f>"0.135*"</f>
        <v>0.135*</v>
      </c>
      <c r="H24" s="2" t="str">
        <f>"0.0517"</f>
        <v>0.0517</v>
      </c>
      <c r="J24" s="2" t="str">
        <f>"-0.0435"</f>
        <v>-0.0435</v>
      </c>
      <c r="L24" s="2" t="str">
        <f>"0.0315"</f>
        <v>0.0315</v>
      </c>
      <c r="N24" s="2" t="str">
        <f>"0.0116"</f>
        <v>0.0116</v>
      </c>
      <c r="P24" s="2" t="str">
        <f>"-0.0505"</f>
        <v>-0.0505</v>
      </c>
      <c r="R24" s="2" t="s">
        <v>48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2:48" ht="18.600000000000001" x14ac:dyDescent="0.45">
      <c r="B25" s="8" t="s">
        <v>6</v>
      </c>
      <c r="D25" s="2" t="str">
        <f>"[0.050]"</f>
        <v>[0.050]</v>
      </c>
      <c r="F25" s="2" t="str">
        <f>"[0.068]"</f>
        <v>[0.068]</v>
      </c>
      <c r="H25" s="2" t="str">
        <f>"[0.042]"</f>
        <v>[0.042]</v>
      </c>
      <c r="J25" s="2" t="str">
        <f>"[0.054]"</f>
        <v>[0.054]</v>
      </c>
      <c r="L25" s="2" t="str">
        <f>"[0.048]"</f>
        <v>[0.048]</v>
      </c>
      <c r="N25" s="2" t="str">
        <f>"[0.026]"</f>
        <v>[0.026]</v>
      </c>
      <c r="P25" s="2" t="str">
        <f>"[0.042]"</f>
        <v>[0.042]</v>
      </c>
      <c r="R25" s="2" t="s">
        <v>20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</row>
    <row r="26" spans="2:48" ht="16.5" customHeight="1" x14ac:dyDescent="0.3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</row>
    <row r="27" spans="2:48" x14ac:dyDescent="0.3">
      <c r="B27" s="8" t="s">
        <v>95</v>
      </c>
      <c r="L27" s="2" t="str">
        <f>"-0.207"</f>
        <v>-0.207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</row>
    <row r="28" spans="2:48" x14ac:dyDescent="0.3">
      <c r="L28" s="2" t="str">
        <f>"[0.15]"</f>
        <v>[0.15]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</row>
    <row r="29" spans="2:48" x14ac:dyDescent="0.3">
      <c r="B29" s="8" t="s">
        <v>96</v>
      </c>
      <c r="D29" s="2" t="str">
        <f>"2.029**"</f>
        <v>2.029**</v>
      </c>
      <c r="F29" s="2" t="str">
        <f>"-5.485***"</f>
        <v>-5.485***</v>
      </c>
      <c r="H29" s="2" t="str">
        <f>"2.157*"</f>
        <v>2.157*</v>
      </c>
      <c r="J29" s="2" t="str">
        <f>"1.755**"</f>
        <v>1.755**</v>
      </c>
      <c r="L29" s="2" t="str">
        <f>"2.734**"</f>
        <v>2.734**</v>
      </c>
      <c r="N29" s="2" t="str">
        <f>"2.967**"</f>
        <v>2.967**</v>
      </c>
      <c r="P29" s="2" t="str">
        <f>"-2.157*"</f>
        <v>-2.157*</v>
      </c>
      <c r="R29" s="2" t="s">
        <v>50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</row>
    <row r="30" spans="2:48" x14ac:dyDescent="0.3">
      <c r="B30" s="8" t="s">
        <v>6</v>
      </c>
      <c r="D30" s="2" t="str">
        <f>"[0.97]"</f>
        <v>[0.97]</v>
      </c>
      <c r="F30" s="2" t="str">
        <f>"[1.71]"</f>
        <v>[1.71]</v>
      </c>
      <c r="H30" s="2" t="str">
        <f>"[1.20]"</f>
        <v>[1.20]</v>
      </c>
      <c r="J30" s="2" t="str">
        <f>"[0.86]"</f>
        <v>[0.86]</v>
      </c>
      <c r="L30" s="2" t="str">
        <f>"[1.27]"</f>
        <v>[1.27]</v>
      </c>
      <c r="N30" s="2" t="str">
        <f>"[1.18]"</f>
        <v>[1.18]</v>
      </c>
      <c r="P30" s="2" t="str">
        <f>"[1.24]"</f>
        <v>[1.24]</v>
      </c>
      <c r="R30" s="2" t="s">
        <v>54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</row>
    <row r="31" spans="2:48" x14ac:dyDescent="0.3"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</row>
    <row r="32" spans="2:48" x14ac:dyDescent="0.3">
      <c r="B32" s="8" t="s">
        <v>97</v>
      </c>
      <c r="D32" s="2" t="str">
        <f>"479"</f>
        <v>479</v>
      </c>
      <c r="F32" s="2" t="str">
        <f>"131"</f>
        <v>131</v>
      </c>
      <c r="H32" s="2" t="str">
        <f>"224"</f>
        <v>224</v>
      </c>
      <c r="J32" s="2" t="str">
        <f>"252"</f>
        <v>252</v>
      </c>
      <c r="L32" s="2" t="str">
        <f>"471"</f>
        <v>471</v>
      </c>
      <c r="N32" s="2" t="str">
        <f>"948"</f>
        <v>948</v>
      </c>
      <c r="P32" s="2" t="str">
        <f>"259"</f>
        <v>259</v>
      </c>
      <c r="R32" s="2" t="s">
        <v>56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</row>
    <row r="33" spans="2:48" x14ac:dyDescent="0.3">
      <c r="B33" s="8" t="s">
        <v>98</v>
      </c>
      <c r="D33" s="2" t="str">
        <f>"0.443"</f>
        <v>0.443</v>
      </c>
      <c r="F33" s="2" t="str">
        <f>"0.415"</f>
        <v>0.415</v>
      </c>
      <c r="H33" s="2" t="str">
        <f>"0.425"</f>
        <v>0.425</v>
      </c>
      <c r="J33" s="2" t="str">
        <f>"0.438"</f>
        <v>0.438</v>
      </c>
      <c r="L33" s="2" t="str">
        <f>"0.454"</f>
        <v>0.454</v>
      </c>
      <c r="N33" s="2" t="str">
        <f>"0.318"</f>
        <v>0.318</v>
      </c>
      <c r="P33" s="2" t="str">
        <f>"0.196"</f>
        <v>0.196</v>
      </c>
      <c r="R33" s="2" t="s">
        <v>59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</row>
    <row r="34" spans="2:48" x14ac:dyDescent="0.3"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</row>
    <row r="35" spans="2:48" x14ac:dyDescent="0.3">
      <c r="B35" s="8" t="s">
        <v>0</v>
      </c>
      <c r="D35" s="2" t="s">
        <v>88</v>
      </c>
      <c r="F35" s="2" t="s">
        <v>88</v>
      </c>
      <c r="H35" s="2" t="s">
        <v>88</v>
      </c>
      <c r="J35" s="2" t="s">
        <v>88</v>
      </c>
      <c r="L35" s="2" t="s">
        <v>88</v>
      </c>
      <c r="N35" s="2" t="s">
        <v>88</v>
      </c>
      <c r="P35" s="2" t="s">
        <v>88</v>
      </c>
      <c r="R35" s="2" t="s">
        <v>88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</row>
    <row r="36" spans="2:48" x14ac:dyDescent="0.3">
      <c r="B36" s="8" t="s">
        <v>1</v>
      </c>
      <c r="D36" s="2" t="s">
        <v>88</v>
      </c>
      <c r="F36" s="2" t="s">
        <v>88</v>
      </c>
      <c r="H36" s="2" t="s">
        <v>88</v>
      </c>
      <c r="J36" s="2" t="s">
        <v>88</v>
      </c>
      <c r="L36" s="2" t="s">
        <v>88</v>
      </c>
      <c r="N36" s="2" t="s">
        <v>88</v>
      </c>
      <c r="P36" s="2" t="s">
        <v>88</v>
      </c>
      <c r="R36" s="2" t="s">
        <v>88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</row>
    <row r="37" spans="2:48" x14ac:dyDescent="0.3"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</row>
    <row r="38" spans="2:48" x14ac:dyDescent="0.3">
      <c r="B38" s="11" t="s">
        <v>2</v>
      </c>
      <c r="C38" s="11"/>
      <c r="D38" s="3"/>
      <c r="E38" s="3"/>
      <c r="F38" s="3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</row>
    <row r="39" spans="2:48" x14ac:dyDescent="0.3">
      <c r="C39" s="11"/>
      <c r="D39" s="11"/>
      <c r="E39" s="3"/>
      <c r="F39" s="3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</row>
    <row r="40" spans="2:48" x14ac:dyDescent="0.3">
      <c r="B40" s="12" t="str">
        <f>"* p&lt;0.10  ** p&lt;0.05  *** p&lt;0.01"</f>
        <v>* p&lt;0.10  ** p&lt;0.05  *** p&lt;0.01</v>
      </c>
      <c r="C40" s="1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</row>
    <row r="41" spans="2:48" x14ac:dyDescent="0.3"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2:48" x14ac:dyDescent="0.3"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</row>
  </sheetData>
  <mergeCells count="4">
    <mergeCell ref="D4:F4"/>
    <mergeCell ref="H4:R4"/>
    <mergeCell ref="D7:F7"/>
    <mergeCell ref="H7:R7"/>
  </mergeCells>
  <pageMargins left="0.7" right="0.7" top="0.75" bottom="0.75" header="0.3" footer="0.3"/>
  <pageSetup paperSize="9" orientation="portrait" horizontalDpi="4294967293" verticalDpi="4294967293" r:id="rId1"/>
  <ignoredErrors>
    <ignoredError sqref="R9:R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1"/>
  <sheetViews>
    <sheetView showGridLines="0" zoomScale="70" zoomScaleNormal="70" workbookViewId="0">
      <selection activeCell="B1" sqref="B1"/>
    </sheetView>
  </sheetViews>
  <sheetFormatPr defaultColWidth="8.7109375" defaultRowHeight="18.75" x14ac:dyDescent="0.3"/>
  <cols>
    <col min="1" max="1" width="8.7109375" style="19"/>
    <col min="2" max="2" width="33" style="8" customWidth="1"/>
    <col min="3" max="3" width="8.7109375" style="8"/>
    <col min="4" max="5" width="19.42578125" style="2" customWidth="1"/>
    <col min="6" max="6" width="2.7109375" style="2" customWidth="1"/>
    <col min="7" max="8" width="19.42578125" style="2" customWidth="1"/>
    <col min="9" max="9" width="3.85546875" style="2" customWidth="1"/>
    <col min="10" max="11" width="19.42578125" style="2" customWidth="1"/>
    <col min="12" max="12" width="2.5703125" style="2" customWidth="1"/>
    <col min="13" max="14" width="19.42578125" style="2" customWidth="1"/>
    <col min="15" max="15" width="3.42578125" style="2" customWidth="1"/>
    <col min="16" max="17" width="19.42578125" style="2" customWidth="1"/>
    <col min="18" max="18" width="2.85546875" style="2" customWidth="1"/>
    <col min="19" max="20" width="19.42578125" style="2" customWidth="1"/>
    <col min="21" max="21" width="2.85546875" style="2" customWidth="1"/>
    <col min="22" max="23" width="19.42578125" style="2" customWidth="1"/>
    <col min="24" max="24" width="3.140625" style="2" customWidth="1"/>
    <col min="25" max="26" width="19.42578125" style="2" customWidth="1"/>
    <col min="27" max="27" width="8.7109375" style="11"/>
    <col min="28" max="28" width="8.7109375" style="8"/>
    <col min="29" max="16384" width="8.7109375" style="19"/>
  </cols>
  <sheetData>
    <row r="1" spans="2:28" ht="21" x14ac:dyDescent="0.35">
      <c r="B1" s="23" t="s">
        <v>103</v>
      </c>
    </row>
    <row r="3" spans="2:28" ht="18.600000000000001" x14ac:dyDescent="0.45">
      <c r="B3" s="13"/>
      <c r="C3" s="1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0"/>
    </row>
    <row r="4" spans="2:28" ht="18.600000000000001" x14ac:dyDescent="0.45">
      <c r="B4" s="14"/>
      <c r="C4" s="14"/>
      <c r="D4" s="24" t="s">
        <v>4</v>
      </c>
      <c r="E4" s="24"/>
      <c r="F4" s="24"/>
      <c r="G4" s="24"/>
      <c r="H4" s="24"/>
      <c r="I4" s="5"/>
      <c r="J4" s="7"/>
      <c r="K4" s="24" t="s">
        <v>5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0"/>
    </row>
    <row r="5" spans="2:28" ht="18.600000000000001" x14ac:dyDescent="0.35">
      <c r="B5" s="15" t="s">
        <v>6</v>
      </c>
      <c r="C5" s="15"/>
      <c r="D5" s="26" t="s">
        <v>7</v>
      </c>
      <c r="E5" s="26"/>
      <c r="F5" s="16"/>
      <c r="G5" s="27" t="s">
        <v>3</v>
      </c>
      <c r="H5" s="27"/>
      <c r="I5" s="17"/>
      <c r="J5" s="28" t="s">
        <v>8</v>
      </c>
      <c r="K5" s="28"/>
      <c r="L5" s="16"/>
      <c r="M5" s="26" t="s">
        <v>9</v>
      </c>
      <c r="N5" s="26"/>
      <c r="O5" s="17"/>
      <c r="P5" s="26" t="s">
        <v>10</v>
      </c>
      <c r="Q5" s="26"/>
      <c r="R5" s="17"/>
      <c r="S5" s="26" t="s">
        <v>11</v>
      </c>
      <c r="T5" s="26"/>
      <c r="U5" s="16"/>
      <c r="V5" s="26" t="s">
        <v>12</v>
      </c>
      <c r="W5" s="26"/>
      <c r="X5" s="17"/>
      <c r="Y5" s="26" t="s">
        <v>14</v>
      </c>
      <c r="Z5" s="26"/>
      <c r="AA5" s="21"/>
      <c r="AB5" s="10"/>
    </row>
    <row r="6" spans="2:28" ht="18.600000000000001" x14ac:dyDescent="0.35">
      <c r="B6" s="15"/>
      <c r="C6" s="15"/>
      <c r="D6" s="17"/>
      <c r="E6" s="17"/>
      <c r="F6" s="17"/>
      <c r="G6" s="17"/>
      <c r="H6" s="17"/>
      <c r="I6" s="17"/>
      <c r="J6" s="17"/>
      <c r="K6" s="16"/>
      <c r="L6" s="16"/>
      <c r="M6" s="16"/>
      <c r="N6" s="16"/>
      <c r="O6" s="17"/>
      <c r="P6" s="17"/>
      <c r="Q6" s="16"/>
      <c r="R6" s="17"/>
      <c r="S6" s="17"/>
      <c r="T6" s="16"/>
      <c r="U6" s="16"/>
      <c r="V6" s="16"/>
      <c r="W6" s="16"/>
      <c r="X6" s="17"/>
      <c r="Y6" s="17"/>
      <c r="Z6" s="16"/>
      <c r="AA6" s="21"/>
      <c r="AB6" s="10"/>
    </row>
    <row r="7" spans="2:28" ht="92.45" x14ac:dyDescent="0.45">
      <c r="B7" s="14" t="s">
        <v>6</v>
      </c>
      <c r="C7" s="14"/>
      <c r="D7" s="22" t="s">
        <v>100</v>
      </c>
      <c r="E7" s="22" t="s">
        <v>101</v>
      </c>
      <c r="F7" s="1"/>
      <c r="G7" s="22" t="s">
        <v>100</v>
      </c>
      <c r="H7" s="22" t="s">
        <v>101</v>
      </c>
      <c r="I7" s="18"/>
      <c r="J7" s="22" t="s">
        <v>100</v>
      </c>
      <c r="K7" s="22" t="s">
        <v>101</v>
      </c>
      <c r="L7" s="1"/>
      <c r="M7" s="22" t="s">
        <v>100</v>
      </c>
      <c r="N7" s="22" t="s">
        <v>101</v>
      </c>
      <c r="O7" s="1"/>
      <c r="P7" s="22" t="s">
        <v>100</v>
      </c>
      <c r="Q7" s="22" t="s">
        <v>101</v>
      </c>
      <c r="R7" s="1"/>
      <c r="S7" s="22" t="s">
        <v>100</v>
      </c>
      <c r="T7" s="22" t="s">
        <v>101</v>
      </c>
      <c r="U7" s="1"/>
      <c r="V7" s="22" t="s">
        <v>100</v>
      </c>
      <c r="W7" s="22" t="s">
        <v>101</v>
      </c>
      <c r="X7" s="1"/>
      <c r="Y7" s="22" t="s">
        <v>100</v>
      </c>
      <c r="Z7" s="22" t="s">
        <v>101</v>
      </c>
      <c r="AA7" s="20"/>
    </row>
    <row r="9" spans="2:28" ht="18.600000000000001" x14ac:dyDescent="0.45">
      <c r="B9" s="8" t="s">
        <v>89</v>
      </c>
      <c r="D9" s="2" t="str">
        <f>"-0.453***"</f>
        <v>-0.453***</v>
      </c>
      <c r="E9" s="2" t="str">
        <f>"0.166***"</f>
        <v>0.166***</v>
      </c>
      <c r="G9" s="2" t="str">
        <f>"-0.121"</f>
        <v>-0.121</v>
      </c>
      <c r="H9" s="2" t="str">
        <f>"0.0792"</f>
        <v>0.0792</v>
      </c>
      <c r="J9" s="2" t="s">
        <v>60</v>
      </c>
      <c r="K9" s="2" t="s">
        <v>61</v>
      </c>
      <c r="M9" s="2" t="str">
        <f>"-0.372***"</f>
        <v>-0.372***</v>
      </c>
      <c r="N9" s="2" t="str">
        <f>"0.169***"</f>
        <v>0.169***</v>
      </c>
      <c r="P9" s="2" t="str">
        <f>"-0.377***"</f>
        <v>-0.377***</v>
      </c>
      <c r="Q9" s="2" t="str">
        <f>"0.155***"</f>
        <v>0.155***</v>
      </c>
      <c r="S9" s="2" t="s">
        <v>15</v>
      </c>
      <c r="T9" s="2" t="s">
        <v>81</v>
      </c>
      <c r="V9" s="2" t="str">
        <f>"-0.0798"</f>
        <v>-0.0798</v>
      </c>
      <c r="W9" s="2" t="str">
        <f>"0.0757"</f>
        <v>0.0757</v>
      </c>
      <c r="Y9" s="2" t="str">
        <f>"-0.382***"</f>
        <v>-0.382***</v>
      </c>
      <c r="Z9" s="2" t="str">
        <f>"0.128**"</f>
        <v>0.128**</v>
      </c>
    </row>
    <row r="10" spans="2:28" ht="18.600000000000001" x14ac:dyDescent="0.45">
      <c r="B10" s="8" t="str">
        <f>""</f>
        <v/>
      </c>
      <c r="D10" s="2" t="str">
        <f>"[0.078]"</f>
        <v>[0.078]</v>
      </c>
      <c r="E10" s="2" t="str">
        <f>"[0.055]"</f>
        <v>[0.055]</v>
      </c>
      <c r="G10" s="2" t="str">
        <f>"[0.22]"</f>
        <v>[0.22]</v>
      </c>
      <c r="H10" s="2" t="str">
        <f>"[0.12]"</f>
        <v>[0.12]</v>
      </c>
      <c r="J10" s="2" t="s">
        <v>17</v>
      </c>
      <c r="K10" s="2" t="s">
        <v>62</v>
      </c>
      <c r="M10" s="2" t="str">
        <f>"[0.091]"</f>
        <v>[0.091]</v>
      </c>
      <c r="N10" s="2" t="str">
        <f>"[0.052]"</f>
        <v>[0.052]</v>
      </c>
      <c r="P10" s="2" t="str">
        <f>"[0.073]"</f>
        <v>[0.073]</v>
      </c>
      <c r="Q10" s="2" t="str">
        <f>"[0.052]"</f>
        <v>[0.052]</v>
      </c>
      <c r="S10" s="2" t="s">
        <v>19</v>
      </c>
      <c r="T10" s="2" t="s">
        <v>21</v>
      </c>
      <c r="V10" s="2" t="str">
        <f>"[0.094]"</f>
        <v>[0.094]</v>
      </c>
      <c r="W10" s="2" t="str">
        <f>"[0.053]"</f>
        <v>[0.053]</v>
      </c>
      <c r="Y10" s="2" t="str">
        <f>"[0.085]"</f>
        <v>[0.085]</v>
      </c>
      <c r="Z10" s="2" t="str">
        <f>"[0.060]"</f>
        <v>[0.060]</v>
      </c>
    </row>
    <row r="12" spans="2:28" ht="18.600000000000001" x14ac:dyDescent="0.45">
      <c r="B12" s="8" t="s">
        <v>90</v>
      </c>
      <c r="D12" s="2" t="str">
        <f>"0.218**"</f>
        <v>0.218**</v>
      </c>
      <c r="E12" s="2" t="str">
        <f>"-0.272***"</f>
        <v>-0.272***</v>
      </c>
      <c r="G12" s="2" t="str">
        <f>"0.387"</f>
        <v>0.387</v>
      </c>
      <c r="H12" s="2" t="str">
        <f>"-0.0329"</f>
        <v>-0.0329</v>
      </c>
      <c r="J12" s="2" t="s">
        <v>63</v>
      </c>
      <c r="K12" s="2" t="s">
        <v>64</v>
      </c>
      <c r="M12" s="2" t="str">
        <f>"0.113"</f>
        <v>0.113</v>
      </c>
      <c r="N12" s="2" t="str">
        <f>"-0.215***"</f>
        <v>-0.215***</v>
      </c>
      <c r="P12" s="2" t="str">
        <f>"0.159"</f>
        <v>0.159</v>
      </c>
      <c r="Q12" s="2" t="str">
        <f>"-0.222***"</f>
        <v>-0.222***</v>
      </c>
      <c r="S12" s="2" t="s">
        <v>24</v>
      </c>
      <c r="T12" s="2" t="s">
        <v>82</v>
      </c>
      <c r="V12" s="2" t="str">
        <f>"0.205"</f>
        <v>0.205</v>
      </c>
      <c r="W12" s="2" t="str">
        <f>"-0.0113"</f>
        <v>-0.0113</v>
      </c>
      <c r="Y12" s="2" t="str">
        <f>"0.290**"</f>
        <v>0.290**</v>
      </c>
      <c r="Z12" s="2" t="str">
        <f>"-0.271***"</f>
        <v>-0.271***</v>
      </c>
    </row>
    <row r="13" spans="2:28" ht="18.600000000000001" x14ac:dyDescent="0.45">
      <c r="B13" s="8" t="str">
        <f>""</f>
        <v/>
      </c>
      <c r="D13" s="2" t="str">
        <f>"[0.11]"</f>
        <v>[0.11]</v>
      </c>
      <c r="E13" s="2" t="str">
        <f>"[0.076]"</f>
        <v>[0.076]</v>
      </c>
      <c r="G13" s="2" t="str">
        <f>"[0.24]"</f>
        <v>[0.24]</v>
      </c>
      <c r="H13" s="2" t="str">
        <f>"[0.12]"</f>
        <v>[0.12]</v>
      </c>
      <c r="J13" s="2" t="s">
        <v>26</v>
      </c>
      <c r="K13" s="2" t="s">
        <v>65</v>
      </c>
      <c r="M13" s="2" t="str">
        <f>"[0.13]"</f>
        <v>[0.13]</v>
      </c>
      <c r="N13" s="2" t="str">
        <f>"[0.073]"</f>
        <v>[0.073]</v>
      </c>
      <c r="P13" s="2" t="str">
        <f>"[0.11]"</f>
        <v>[0.11]</v>
      </c>
      <c r="Q13" s="2" t="str">
        <f>"[0.075]"</f>
        <v>[0.075]</v>
      </c>
      <c r="S13" s="2" t="s">
        <v>26</v>
      </c>
      <c r="T13" s="2" t="s">
        <v>28</v>
      </c>
      <c r="V13" s="2" t="str">
        <f>"[0.13]"</f>
        <v>[0.13]</v>
      </c>
      <c r="W13" s="2" t="str">
        <f>"[0.075]"</f>
        <v>[0.075]</v>
      </c>
      <c r="Y13" s="2" t="str">
        <f>"[0.11]"</f>
        <v>[0.11]</v>
      </c>
      <c r="Z13" s="2" t="str">
        <f>"[0.081]"</f>
        <v>[0.081]</v>
      </c>
    </row>
    <row r="15" spans="2:28" ht="18.600000000000001" x14ac:dyDescent="0.45">
      <c r="B15" s="8" t="s">
        <v>91</v>
      </c>
      <c r="D15" s="2" t="str">
        <f>"0.174***"</f>
        <v>0.174***</v>
      </c>
      <c r="E15" s="2" t="str">
        <f>"-0.125***"</f>
        <v>-0.125***</v>
      </c>
      <c r="G15" s="2" t="str">
        <f>"-0.0489"</f>
        <v>-0.0489</v>
      </c>
      <c r="H15" s="2" t="str">
        <f>"-0.0403"</f>
        <v>-0.0403</v>
      </c>
      <c r="J15" s="2" t="s">
        <v>66</v>
      </c>
      <c r="K15" s="2" t="s">
        <v>67</v>
      </c>
      <c r="M15" s="2" t="str">
        <f>"0.139**"</f>
        <v>0.139**</v>
      </c>
      <c r="N15" s="2" t="str">
        <f>"-0.121***"</f>
        <v>-0.121***</v>
      </c>
      <c r="P15" s="2" t="str">
        <f>"0.127**"</f>
        <v>0.127**</v>
      </c>
      <c r="Q15" s="2" t="str">
        <f>"-0.0945**"</f>
        <v>-0.0945**</v>
      </c>
      <c r="S15" s="2" t="s">
        <v>83</v>
      </c>
      <c r="T15" s="2" t="s">
        <v>30</v>
      </c>
      <c r="V15" s="2" t="str">
        <f>"0.0559"</f>
        <v>0.0559</v>
      </c>
      <c r="W15" s="2" t="str">
        <f>"0.00334"</f>
        <v>0.00334</v>
      </c>
      <c r="Y15" s="2" t="str">
        <f>"0.190***"</f>
        <v>0.190***</v>
      </c>
      <c r="Z15" s="2" t="str">
        <f>"-0.114**"</f>
        <v>-0.114**</v>
      </c>
    </row>
    <row r="16" spans="2:28" ht="18.600000000000001" x14ac:dyDescent="0.45">
      <c r="B16" s="8" t="str">
        <f>""</f>
        <v/>
      </c>
      <c r="D16" s="2" t="str">
        <f>"[0.057]"</f>
        <v>[0.057]</v>
      </c>
      <c r="E16" s="2" t="str">
        <f>"[0.040]"</f>
        <v>[0.040]</v>
      </c>
      <c r="G16" s="2" t="str">
        <f>"[0.12]"</f>
        <v>[0.12]</v>
      </c>
      <c r="H16" s="2" t="str">
        <f>"[0.064]"</f>
        <v>[0.064]</v>
      </c>
      <c r="J16" s="2" t="s">
        <v>68</v>
      </c>
      <c r="K16" s="2" t="s">
        <v>18</v>
      </c>
      <c r="M16" s="2" t="str">
        <f>"[0.069]"</f>
        <v>[0.069]</v>
      </c>
      <c r="N16" s="2" t="str">
        <f>"[0.040]"</f>
        <v>[0.040]</v>
      </c>
      <c r="P16" s="2" t="str">
        <f>"[0.056]"</f>
        <v>[0.056]</v>
      </c>
      <c r="Q16" s="2" t="str">
        <f>"[0.040]"</f>
        <v>[0.040]</v>
      </c>
      <c r="S16" s="2" t="s">
        <v>34</v>
      </c>
      <c r="T16" s="2" t="s">
        <v>35</v>
      </c>
      <c r="V16" s="2" t="str">
        <f>"[0.035]"</f>
        <v>[0.035]</v>
      </c>
      <c r="W16" s="2" t="str">
        <f>"[0.020]"</f>
        <v>[0.020]</v>
      </c>
      <c r="Y16" s="2" t="str">
        <f>"[0.060]"</f>
        <v>[0.060]</v>
      </c>
      <c r="Z16" s="2" t="str">
        <f>"[0.043]"</f>
        <v>[0.043]</v>
      </c>
    </row>
    <row r="18" spans="2:26" ht="18.600000000000001" x14ac:dyDescent="0.45">
      <c r="B18" s="8" t="s">
        <v>92</v>
      </c>
      <c r="D18" s="2" t="str">
        <f>"-0.295***"</f>
        <v>-0.295***</v>
      </c>
      <c r="E18" s="2" t="str">
        <f>"0.00895"</f>
        <v>0.00895</v>
      </c>
      <c r="G18" s="2" t="str">
        <f>"-0.355*"</f>
        <v>-0.355*</v>
      </c>
      <c r="H18" s="2" t="str">
        <f>"0.352***"</f>
        <v>0.352***</v>
      </c>
      <c r="J18" s="2" t="s">
        <v>69</v>
      </c>
      <c r="K18" s="2" t="s">
        <v>70</v>
      </c>
      <c r="M18" s="2" t="str">
        <f>"-0.283***"</f>
        <v>-0.283***</v>
      </c>
      <c r="N18" s="2" t="str">
        <f>"0.0256"</f>
        <v>0.0256</v>
      </c>
      <c r="P18" s="2" t="str">
        <f>"-0.249***"</f>
        <v>-0.249***</v>
      </c>
      <c r="Q18" s="2" t="str">
        <f>"-0.0179"</f>
        <v>-0.0179</v>
      </c>
      <c r="S18" s="2" t="s">
        <v>84</v>
      </c>
      <c r="T18" s="2" t="s">
        <v>37</v>
      </c>
      <c r="V18" s="2" t="str">
        <f>"-0.282**"</f>
        <v>-0.282**</v>
      </c>
      <c r="W18" s="2" t="str">
        <f>"0.199***"</f>
        <v>0.199***</v>
      </c>
      <c r="Y18" s="2" t="str">
        <f>"-0.241***"</f>
        <v>-0.241***</v>
      </c>
      <c r="Z18" s="2" t="str">
        <f>"-0.0384"</f>
        <v>-0.0384</v>
      </c>
    </row>
    <row r="19" spans="2:26" ht="18.600000000000001" x14ac:dyDescent="0.45">
      <c r="B19" s="8" t="str">
        <f>""</f>
        <v/>
      </c>
      <c r="D19" s="2" t="str">
        <f>"[0.071]"</f>
        <v>[0.071]</v>
      </c>
      <c r="E19" s="2" t="str">
        <f>"[0.050]"</f>
        <v>[0.050]</v>
      </c>
      <c r="G19" s="2" t="str">
        <f>"[0.18]"</f>
        <v>[0.18]</v>
      </c>
      <c r="H19" s="2" t="str">
        <f>"[0.096]"</f>
        <v>[0.096]</v>
      </c>
      <c r="J19" s="2" t="s">
        <v>22</v>
      </c>
      <c r="K19" s="2" t="s">
        <v>38</v>
      </c>
      <c r="M19" s="2" t="str">
        <f>"[0.078]"</f>
        <v>[0.078]</v>
      </c>
      <c r="N19" s="2" t="str">
        <f>"[0.045]"</f>
        <v>[0.045]</v>
      </c>
      <c r="P19" s="2" t="str">
        <f>"[0.067]"</f>
        <v>[0.067]</v>
      </c>
      <c r="Q19" s="2" t="str">
        <f>"[0.048]"</f>
        <v>[0.048]</v>
      </c>
      <c r="S19" s="2" t="s">
        <v>33</v>
      </c>
      <c r="T19" s="2" t="s">
        <v>39</v>
      </c>
      <c r="V19" s="2" t="str">
        <f>"[0.11]"</f>
        <v>[0.11]</v>
      </c>
      <c r="W19" s="2" t="str">
        <f>"[0.064]"</f>
        <v>[0.064]</v>
      </c>
      <c r="Y19" s="2" t="str">
        <f>"[0.067]"</f>
        <v>[0.067]</v>
      </c>
      <c r="Z19" s="2" t="str">
        <f>"[0.048]"</f>
        <v>[0.048]</v>
      </c>
    </row>
    <row r="21" spans="2:26" ht="18.600000000000001" x14ac:dyDescent="0.45">
      <c r="B21" s="8" t="s">
        <v>94</v>
      </c>
      <c r="D21" s="2" t="str">
        <f>"-0.577*"</f>
        <v>-0.577*</v>
      </c>
      <c r="E21" s="2" t="str">
        <f>"-0.433**"</f>
        <v>-0.433**</v>
      </c>
      <c r="G21" s="2" t="str">
        <f>"0.970"</f>
        <v>0.970</v>
      </c>
      <c r="H21" s="2" t="str">
        <f>"0.192"</f>
        <v>0.192</v>
      </c>
      <c r="J21" s="2" t="s">
        <v>71</v>
      </c>
      <c r="K21" s="2" t="s">
        <v>72</v>
      </c>
      <c r="M21" s="2" t="str">
        <f>"-1.009***"</f>
        <v>-1.009***</v>
      </c>
      <c r="N21" s="2" t="str">
        <f>"-0.0960"</f>
        <v>-0.0960</v>
      </c>
      <c r="P21" s="2" t="str">
        <f>"-0.442"</f>
        <v>-0.442</v>
      </c>
      <c r="Q21" s="2" t="str">
        <f>"-0.509**"</f>
        <v>-0.509**</v>
      </c>
      <c r="S21" s="2" t="s">
        <v>85</v>
      </c>
      <c r="T21" s="2" t="s">
        <v>40</v>
      </c>
      <c r="V21" s="2" t="str">
        <f>"0.683"</f>
        <v>0.683</v>
      </c>
      <c r="W21" s="2" t="str">
        <f>"-0.339"</f>
        <v>-0.339</v>
      </c>
      <c r="Y21" s="2" t="str">
        <f>"-0.702**"</f>
        <v>-0.702**</v>
      </c>
      <c r="Z21" s="2" t="str">
        <f>"-0.402*"</f>
        <v>-0.402*</v>
      </c>
    </row>
    <row r="22" spans="2:26" ht="18.600000000000001" x14ac:dyDescent="0.45">
      <c r="B22" s="8" t="str">
        <f>""</f>
        <v/>
      </c>
      <c r="D22" s="2" t="str">
        <f>"[0.30]"</f>
        <v>[0.30]</v>
      </c>
      <c r="E22" s="2" t="str">
        <f>"[0.21]"</f>
        <v>[0.21]</v>
      </c>
      <c r="G22" s="2" t="str">
        <f>"[1.12]"</f>
        <v>[1.12]</v>
      </c>
      <c r="H22" s="2" t="str">
        <f>"[0.58]"</f>
        <v>[0.58]</v>
      </c>
      <c r="J22" s="2" t="s">
        <v>41</v>
      </c>
      <c r="K22" s="2" t="s">
        <v>42</v>
      </c>
      <c r="M22" s="2" t="str">
        <f>"[0.31]"</f>
        <v>[0.31]</v>
      </c>
      <c r="N22" s="2" t="str">
        <f>"[0.18]"</f>
        <v>[0.18]</v>
      </c>
      <c r="P22" s="2" t="str">
        <f>"[0.28]"</f>
        <v>[0.28]</v>
      </c>
      <c r="Q22" s="2" t="str">
        <f>"[0.20]"</f>
        <v>[0.20]</v>
      </c>
      <c r="S22" s="2" t="s">
        <v>44</v>
      </c>
      <c r="T22" s="2" t="s">
        <v>43</v>
      </c>
      <c r="V22" s="2" t="str">
        <f>"[0.47]"</f>
        <v>[0.47]</v>
      </c>
      <c r="W22" s="2" t="str">
        <f>"[0.27]"</f>
        <v>[0.27]</v>
      </c>
      <c r="Y22" s="2" t="str">
        <f>"[0.31]"</f>
        <v>[0.31]</v>
      </c>
      <c r="Z22" s="2" t="str">
        <f>"[0.22]"</f>
        <v>[0.22]</v>
      </c>
    </row>
    <row r="24" spans="2:26" ht="55.5" x14ac:dyDescent="0.45">
      <c r="B24" s="9" t="s">
        <v>93</v>
      </c>
      <c r="D24" s="2" t="str">
        <f>"0.408***"</f>
        <v>0.408***</v>
      </c>
      <c r="E24" s="2" t="str">
        <f>"-0.0777"</f>
        <v>-0.0777</v>
      </c>
      <c r="G24" s="2" t="str">
        <f>"0.401"</f>
        <v>0.401</v>
      </c>
      <c r="H24" s="2" t="str">
        <f>"-0.00928"</f>
        <v>-0.00928</v>
      </c>
      <c r="J24" s="2" t="s">
        <v>73</v>
      </c>
      <c r="K24" s="2" t="s">
        <v>74</v>
      </c>
      <c r="M24" s="2" t="str">
        <f>"0.633***"</f>
        <v>0.633***</v>
      </c>
      <c r="N24" s="2" t="str">
        <f>"-0.0885"</f>
        <v>-0.0885</v>
      </c>
      <c r="P24" s="2" t="str">
        <f>"0.405***"</f>
        <v>0.405***</v>
      </c>
      <c r="Q24" s="2" t="str">
        <f>"-0.0761"</f>
        <v>-0.0761</v>
      </c>
      <c r="S24" s="2" t="s">
        <v>46</v>
      </c>
      <c r="T24" s="2" t="s">
        <v>47</v>
      </c>
      <c r="V24" s="2" t="str">
        <f>"0.214**"</f>
        <v>0.214**</v>
      </c>
      <c r="W24" s="2" t="str">
        <f>"-0.180***"</f>
        <v>-0.180***</v>
      </c>
      <c r="Y24" s="2" t="str">
        <f>"0.259**"</f>
        <v>0.259**</v>
      </c>
      <c r="Z24" s="2" t="str">
        <f>"-0.0634"</f>
        <v>-0.0634</v>
      </c>
    </row>
    <row r="25" spans="2:26" x14ac:dyDescent="0.3">
      <c r="B25" s="8" t="s">
        <v>6</v>
      </c>
      <c r="D25" s="2" t="str">
        <f>"[0.11]"</f>
        <v>[0.11]</v>
      </c>
      <c r="E25" s="2" t="str">
        <f>"[0.074]"</f>
        <v>[0.074]</v>
      </c>
      <c r="G25" s="2" t="str">
        <f>"[0.25]"</f>
        <v>[0.25]</v>
      </c>
      <c r="H25" s="2" t="str">
        <f>"[0.13]"</f>
        <v>[0.13]</v>
      </c>
      <c r="J25" s="2" t="s">
        <v>27</v>
      </c>
      <c r="K25" s="2" t="s">
        <v>19</v>
      </c>
      <c r="M25" s="2" t="str">
        <f>"[0.15]"</f>
        <v>[0.15]</v>
      </c>
      <c r="N25" s="2" t="str">
        <f>"[0.085]"</f>
        <v>[0.085]</v>
      </c>
      <c r="P25" s="2" t="str">
        <f>"[0.098]"</f>
        <v>[0.098]</v>
      </c>
      <c r="Q25" s="2" t="str">
        <f>"[0.069]"</f>
        <v>[0.069]</v>
      </c>
      <c r="S25" s="2" t="s">
        <v>19</v>
      </c>
      <c r="T25" s="2" t="s">
        <v>21</v>
      </c>
      <c r="V25" s="2" t="str">
        <f>"[0.10]"</f>
        <v>[0.10]</v>
      </c>
      <c r="W25" s="2" t="str">
        <f>"[0.059]"</f>
        <v>[0.059]</v>
      </c>
      <c r="Y25" s="2" t="str">
        <f>"[0.13]"</f>
        <v>[0.13]</v>
      </c>
      <c r="Z25" s="2" t="str">
        <f>"[0.092]"</f>
        <v>[0.092]</v>
      </c>
    </row>
    <row r="27" spans="2:26" x14ac:dyDescent="0.3">
      <c r="B27" s="8" t="s">
        <v>95</v>
      </c>
      <c r="G27" s="8"/>
      <c r="H27" s="8"/>
      <c r="P27" s="2" t="str">
        <f>"0.548*"</f>
        <v>0.548*</v>
      </c>
      <c r="Q27" s="2" t="str">
        <f>"-0.726***"</f>
        <v>-0.726***</v>
      </c>
    </row>
    <row r="28" spans="2:26" x14ac:dyDescent="0.3">
      <c r="G28" s="8"/>
      <c r="H28" s="8"/>
      <c r="P28" s="2" t="str">
        <f>"[0.30]"</f>
        <v>[0.30]</v>
      </c>
      <c r="Q28" s="2" t="str">
        <f>"[0.21]"</f>
        <v>[0.21]</v>
      </c>
    </row>
    <row r="29" spans="2:26" x14ac:dyDescent="0.3">
      <c r="G29" s="8"/>
      <c r="H29" s="8"/>
    </row>
    <row r="30" spans="2:26" x14ac:dyDescent="0.3">
      <c r="B30" s="8" t="s">
        <v>96</v>
      </c>
      <c r="D30" s="2" t="str">
        <f>"6.596***"</f>
        <v>6.596***</v>
      </c>
      <c r="E30" s="2" t="str">
        <f>"-1.459"</f>
        <v>-1.459</v>
      </c>
      <c r="G30" s="2" t="str">
        <f>"-7.284"</f>
        <v>-7.284</v>
      </c>
      <c r="H30" s="2" t="str">
        <f>"-4.578"</f>
        <v>-4.578</v>
      </c>
      <c r="J30" s="2" t="s">
        <v>75</v>
      </c>
      <c r="K30" s="2" t="s">
        <v>76</v>
      </c>
      <c r="M30" s="2" t="str">
        <f>"5.929**"</f>
        <v>5.929**</v>
      </c>
      <c r="N30" s="2" t="str">
        <f>"-2.490*"</f>
        <v>-2.490*</v>
      </c>
      <c r="P30" s="2" t="str">
        <f>"2.018"</f>
        <v>2.018</v>
      </c>
      <c r="Q30" s="2" t="str">
        <f>"2.456"</f>
        <v>2.456</v>
      </c>
      <c r="S30" s="2" t="s">
        <v>86</v>
      </c>
      <c r="T30" s="2" t="s">
        <v>49</v>
      </c>
      <c r="V30" s="2" t="str">
        <f>"-5.197*"</f>
        <v>-5.197*</v>
      </c>
      <c r="W30" s="2" t="str">
        <f>"-0.0624"</f>
        <v>-0.0624</v>
      </c>
      <c r="Y30" s="2" t="str">
        <f>"7.331***"</f>
        <v>7.331***</v>
      </c>
      <c r="Z30" s="2" t="str">
        <f>"-1.397"</f>
        <v>-1.397</v>
      </c>
    </row>
    <row r="31" spans="2:26" x14ac:dyDescent="0.3">
      <c r="B31" s="8" t="s">
        <v>6</v>
      </c>
      <c r="D31" s="2" t="str">
        <f>"[2.06]"</f>
        <v>[2.06]</v>
      </c>
      <c r="E31" s="2" t="str">
        <f>"[1.45]"</f>
        <v>[1.45]</v>
      </c>
      <c r="G31" s="2" t="str">
        <f>"[6.22]"</f>
        <v>[6.22]</v>
      </c>
      <c r="H31" s="2" t="str">
        <f>"[3.25]"</f>
        <v>[3.25]</v>
      </c>
      <c r="J31" s="2" t="s">
        <v>77</v>
      </c>
      <c r="K31" s="2" t="s">
        <v>51</v>
      </c>
      <c r="M31" s="2" t="str">
        <f>"[2.34]"</f>
        <v>[2.34]</v>
      </c>
      <c r="N31" s="2" t="str">
        <f>"[1.34]"</f>
        <v>[1.34]</v>
      </c>
      <c r="P31" s="2" t="str">
        <f>"[2.57]"</f>
        <v>[2.57]</v>
      </c>
      <c r="Q31" s="2" t="str">
        <f>"[1.82]"</f>
        <v>[1.82]</v>
      </c>
      <c r="S31" s="2" t="s">
        <v>52</v>
      </c>
      <c r="T31" s="2" t="s">
        <v>53</v>
      </c>
      <c r="V31" s="2" t="str">
        <f>"[3.06]"</f>
        <v>[3.06]</v>
      </c>
      <c r="W31" s="2" t="str">
        <f>"[1.75]"</f>
        <v>[1.75]</v>
      </c>
      <c r="Y31" s="2" t="str">
        <f>"[2.71]"</f>
        <v>[2.71]</v>
      </c>
      <c r="Z31" s="2" t="str">
        <f>"[1.93]"</f>
        <v>[1.93]</v>
      </c>
    </row>
    <row r="33" spans="2:26" x14ac:dyDescent="0.3">
      <c r="B33" s="8" t="s">
        <v>97</v>
      </c>
      <c r="D33" s="2" t="str">
        <f>"479"</f>
        <v>479</v>
      </c>
      <c r="E33" s="2" t="str">
        <f>"479"</f>
        <v>479</v>
      </c>
      <c r="G33" s="2" t="str">
        <f>"131"</f>
        <v>131</v>
      </c>
      <c r="H33" s="2" t="str">
        <f>"131"</f>
        <v>131</v>
      </c>
      <c r="J33" s="2" t="s">
        <v>78</v>
      </c>
      <c r="K33" s="2" t="s">
        <v>78</v>
      </c>
      <c r="M33" s="2" t="str">
        <f>"252"</f>
        <v>252</v>
      </c>
      <c r="N33" s="2" t="str">
        <f>"252"</f>
        <v>252</v>
      </c>
      <c r="P33" s="2" t="str">
        <f>"471"</f>
        <v>471</v>
      </c>
      <c r="Q33" s="2" t="str">
        <f>"471"</f>
        <v>471</v>
      </c>
      <c r="S33" s="2" t="s">
        <v>55</v>
      </c>
      <c r="T33" s="2" t="s">
        <v>55</v>
      </c>
      <c r="V33" s="2" t="str">
        <f>"259"</f>
        <v>259</v>
      </c>
      <c r="W33" s="2" t="str">
        <f>"259"</f>
        <v>259</v>
      </c>
      <c r="Y33" s="2" t="str">
        <f>"1168"</f>
        <v>1168</v>
      </c>
      <c r="Z33" s="2" t="str">
        <f>"1168"</f>
        <v>1168</v>
      </c>
    </row>
    <row r="34" spans="2:26" x14ac:dyDescent="0.3">
      <c r="B34" s="8" t="s">
        <v>98</v>
      </c>
      <c r="D34" s="2" t="str">
        <f>"0.728"</f>
        <v>0.728</v>
      </c>
      <c r="E34" s="2" t="str">
        <f>"0.252"</f>
        <v>0.252</v>
      </c>
      <c r="G34" s="2" t="str">
        <f>"0.361"</f>
        <v>0.361</v>
      </c>
      <c r="H34" s="2" t="str">
        <f>"0.389"</f>
        <v>0.389</v>
      </c>
      <c r="J34" s="2" t="s">
        <v>79</v>
      </c>
      <c r="K34" s="2" t="s">
        <v>80</v>
      </c>
      <c r="M34" s="2" t="str">
        <f>"0.568"</f>
        <v>0.568</v>
      </c>
      <c r="N34" s="2" t="str">
        <f>"0.158"</f>
        <v>0.158</v>
      </c>
      <c r="P34" s="2" t="str">
        <f>"0.763"</f>
        <v>0.763</v>
      </c>
      <c r="Q34" s="2" t="str">
        <f>"0.347"</f>
        <v>0.347</v>
      </c>
      <c r="S34" s="2" t="s">
        <v>57</v>
      </c>
      <c r="T34" s="2" t="s">
        <v>58</v>
      </c>
      <c r="V34" s="2" t="str">
        <f>"0.424"</f>
        <v>0.424</v>
      </c>
      <c r="W34" s="2" t="str">
        <f>"0.455"</f>
        <v>0.455</v>
      </c>
      <c r="Y34" s="2" t="str">
        <f>"0.754"</f>
        <v>0.754</v>
      </c>
      <c r="Z34" s="2" t="str">
        <f>"0.283"</f>
        <v>0.283</v>
      </c>
    </row>
    <row r="36" spans="2:26" x14ac:dyDescent="0.3">
      <c r="B36" s="8" t="s">
        <v>0</v>
      </c>
      <c r="D36" s="2" t="s">
        <v>88</v>
      </c>
      <c r="E36" s="2" t="s">
        <v>88</v>
      </c>
      <c r="G36" s="2" t="s">
        <v>88</v>
      </c>
      <c r="H36" s="2" t="s">
        <v>88</v>
      </c>
      <c r="J36" s="2" t="s">
        <v>88</v>
      </c>
      <c r="K36" s="2" t="s">
        <v>88</v>
      </c>
      <c r="M36" s="2" t="s">
        <v>88</v>
      </c>
      <c r="N36" s="2" t="s">
        <v>88</v>
      </c>
      <c r="P36" s="2" t="s">
        <v>88</v>
      </c>
      <c r="Q36" s="2" t="s">
        <v>88</v>
      </c>
      <c r="S36" s="2" t="s">
        <v>88</v>
      </c>
      <c r="T36" s="2" t="s">
        <v>88</v>
      </c>
      <c r="V36" s="2" t="s">
        <v>88</v>
      </c>
      <c r="W36" s="2" t="s">
        <v>88</v>
      </c>
      <c r="Y36" s="2" t="s">
        <v>88</v>
      </c>
      <c r="Z36" s="2" t="s">
        <v>88</v>
      </c>
    </row>
    <row r="37" spans="2:26" x14ac:dyDescent="0.3">
      <c r="B37" s="8" t="s">
        <v>1</v>
      </c>
      <c r="D37" s="2" t="s">
        <v>88</v>
      </c>
      <c r="E37" s="2" t="s">
        <v>88</v>
      </c>
      <c r="G37" s="2" t="s">
        <v>88</v>
      </c>
      <c r="H37" s="2" t="s">
        <v>88</v>
      </c>
      <c r="J37" s="2" t="s">
        <v>88</v>
      </c>
      <c r="K37" s="2" t="s">
        <v>88</v>
      </c>
      <c r="M37" s="2" t="s">
        <v>88</v>
      </c>
      <c r="N37" s="2" t="s">
        <v>88</v>
      </c>
      <c r="P37" s="2" t="s">
        <v>88</v>
      </c>
      <c r="Q37" s="2" t="s">
        <v>88</v>
      </c>
      <c r="S37" s="2" t="s">
        <v>88</v>
      </c>
      <c r="T37" s="2" t="s">
        <v>88</v>
      </c>
      <c r="V37" s="2" t="s">
        <v>88</v>
      </c>
      <c r="W37" s="2" t="s">
        <v>88</v>
      </c>
      <c r="Y37" s="2" t="s">
        <v>88</v>
      </c>
      <c r="Z37" s="2" t="s">
        <v>88</v>
      </c>
    </row>
    <row r="39" spans="2:26" x14ac:dyDescent="0.3">
      <c r="B39" s="11" t="s">
        <v>2</v>
      </c>
      <c r="C39" s="11"/>
      <c r="D39" s="3"/>
      <c r="E39" s="3"/>
      <c r="F39" s="3"/>
    </row>
    <row r="40" spans="2:26" x14ac:dyDescent="0.3">
      <c r="B40" s="11"/>
      <c r="C40" s="11"/>
      <c r="D40" s="11"/>
      <c r="E40" s="3"/>
      <c r="F40" s="3"/>
    </row>
    <row r="41" spans="2:26" x14ac:dyDescent="0.3">
      <c r="B41" s="12" t="str">
        <f>"* p&lt;0.10  ** p&lt;0.05  *** p&lt;0.01"</f>
        <v>* p&lt;0.10  ** p&lt;0.05  *** p&lt;0.01</v>
      </c>
      <c r="C41" s="1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</sheetData>
  <mergeCells count="10">
    <mergeCell ref="S5:T5"/>
    <mergeCell ref="V5:W5"/>
    <mergeCell ref="Y5:Z5"/>
    <mergeCell ref="D4:H4"/>
    <mergeCell ref="K4:Z4"/>
    <mergeCell ref="D5:E5"/>
    <mergeCell ref="G5:H5"/>
    <mergeCell ref="J5:K5"/>
    <mergeCell ref="M5:N5"/>
    <mergeCell ref="P5:Q5"/>
  </mergeCells>
  <pageMargins left="0.7" right="0.7" top="0.75" bottom="0.75" header="0.3" footer="0.3"/>
  <ignoredErrors>
    <ignoredError sqref="K9:W40 J21:J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A6</vt:lpstr>
      <vt:lpstr>Table A7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TWUM</dc:creator>
  <cp:lastModifiedBy>Saranya</cp:lastModifiedBy>
  <dcterms:created xsi:type="dcterms:W3CDTF">2021-03-30T19:23:26Z</dcterms:created>
  <dcterms:modified xsi:type="dcterms:W3CDTF">2021-04-12T15:10:13Z</dcterms:modified>
</cp:coreProperties>
</file>